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<sst xmlns="http://schemas.openxmlformats.org/spreadsheetml/2006/main" count="40" uniqueCount="40">
  <si>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</si>
  <si>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</si>
  <si>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</si>
  <si>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</si>
  <si>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</si>
  <si>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</si>
  <si>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</si>
  <si>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</si>
  <si>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</si>
  <si>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</si>
  <si>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</si>
  <si>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</si>
  <si>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</si>
  <si>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</si>
  <si>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</si>
  <si>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</si>
  <si>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</si>
  <si>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</si>
  <si>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</si>
  <si>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</si>
  <si>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</si>
  <si>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</si>
  <si>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</si>
  <si>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</si>
  <si>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</si>
  <si>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</si>
  <si>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</si>
  <si>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</si>
  <si>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15685,00 - ремонт трубопровода ХВС, ГВС  (кв.185 стояк).</t>
  </si>
  <si>
    <t>1504,00 - замена крана шарового д-40 мм (7 подъезд).
14973,00 - замена счетчиков ХВС (узел учета подъезд № 1).
14973,00 - замена счетчиков ХВС (узел учета подъезд № 3).
14973,00 - замена счетчиков ХВС (узел учета подъезд № 7).
17523,00 - ремонт трубопровода ливневой канализации (кв. 33,36).
11749,00 - ремонт трубопровода ливневой канализации (2 подъезд техэтаж).
9663,00 - ремонт трубопровода ХВС, ГВС  (2 подъезд подвал).
4281,00 - замена кранов шаровых, труб (7 подъезд).</t>
  </si>
  <si>
    <t>2524,00 - ремонт трубопровода ХВС, ГВС  (кв.101,105).
7558,00 - ремонт стыков стеновых панелей (кв.178).
13747,00 - ремонт стыков стеновых панелей (кв.36).
1149,00 - замена светильника (3 подъезд 4 этаж).
1793,00 - ремонт трубопровода ливневой канализации (техэтаж).</t>
  </si>
  <si>
    <t>8167,00 - ремонт трубопровода ХВС, ГВС (кв.181,185,189 стояк).
2442,00 - ремонт трубопровода ливневой канализации (1 подъезд кв.1).
709,00 - замена вентиля, муфты.
3611,00 - установка кранов сбросников (кв. 211,212,214).</t>
  </si>
  <si>
    <t>8400,00 - ремонт стыков стеновых панелей (кв.69).
2865,00 - замена кранов шаровых ГВС (7 подъезд).
1846,00 - ремонт трубопровода ГВС (кв. 1,5).
31515,00 - ремонт трубопровода ХВС, ГВС (кв. 178,182,186).</t>
  </si>
  <si>
    <t>1870,00 - ремонт трубопровода канализации (кв. 255,256,258 стояк).
2918,00 - ремонт трубопровода канализации (кв. 131).
1859,00 - ремонт трубопровода ХВС (кв. 268 стояк).
1951,00 - ремонт трубопровода ХВС (кв. 112,120 стояк).
1261,00 - ремонт трубопровода ГВС (кв. 131 стояк).</t>
  </si>
  <si>
    <t>742,00 - ремонт стояка ХВС с заменой муфт (кв. 162).
700,00 - замена клапана спускного (кв. 105).
2860,00 - ремонт трубопровода канализации (8 подъезд ливнеприемник).
8982,00 - замена крана шарового д-50 мм (теплоузел).
2763,00 - ремонт трубопровода канализации (кв. 149 стояк).
3511,00 - ремонт трубопровода канализации (кв. 197 стояк).
11188,00 - ремонт трубопровода ГВС (кв. 272 стояк).
6548,00 - замена вентилей, термометров (теплоузел).</t>
  </si>
  <si>
    <t>1623,00 - ремонт трубопровода  ГВС (кв. 1 стояк).
937,00 - ремонт трубопровода (кв. 150 стояк).</t>
  </si>
  <si>
    <t>1862,00 - ремонт трубопровода ХВС (кв. 150 стояк).
1528,00 - ремонт трубопровода ГВС (кв. 5 стояк).
1693,00 - замена кранов шаровых (5 подъезд сбросник).
1271,00 - замена кранов шаровых (кв. 136,125,179 сбросник).
2774,00 - ремонт трубопровода канализации (8 подъезд).
9000,00 - ремонт стыков стеновых панелей (кв. 239).
9000,00 - ремонт стыков стеновых панелей (кв. 47).</t>
  </si>
  <si>
    <t>5248,00 - замена кранов шаровых, сгона, труб (5,6 подъезд подвал).
61278,00 - ремонт кровли (кв.33,34, балкон).</t>
  </si>
  <si>
    <t xml:space="preserve">823,00 - замена крана шарового ХВС (кв.275 подвал).                                                                          9194,00 - ремонт трубопровода ХВС, ГВС (кв. 185 стояк).                                                                      855,00 - становка перемычки на трубопроводе отопления (кв. 150).                                                    5651,00 - ремонт системы отопления с заменой трубы ст. (розлив).                                                                                                      </t>
  </si>
  <si>
    <t xml:space="preserve">441,00 - замена крана шарового д-15 мм (4 подъезд подвал).                                                             16358,00 - ремонт трубопровода ХВС, ГВС (кв. 275,271,267 стояк).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</si>
</sst>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1">
      <selection activeCell="E22" sqref="E2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2102</v>
      </c>
      <c r="B1" s="24"/>
      <c r="C1" s="24"/>
      <c r="D1" s="24"/>
      <c r="E1" s="24"/>
    </row>
    <row r="2" spans="1:5" ht="41.25" customHeight="1">
      <c r="A2" s="26" t="s">
        <v>26</v>
      </c>
      <c r="B2" s="27"/>
      <c r="C2" s="27"/>
      <c r="D2" s="27"/>
      <c r="E2" s="27"/>
    </row>
    <row r="3" spans="1:5" ht="36.75" customHeight="1">
      <c r="A3" s="25" t="str">
        <f>VLOOKUP(A1,'[1]2021'!$A$1:$AH$102,2,0)</f>
        <v>ул.Черняховского д.18А</v>
      </c>
      <c r="B3" s="25"/>
      <c r="C3" s="25"/>
      <c r="D3" s="25"/>
      <c r="E3" s="25"/>
    </row>
    <row r="4" spans="1:5" ht="30.75" customHeight="1">
      <c r="A4" s="28" t="s">
        <v>20</v>
      </c>
      <c r="B4" s="28"/>
      <c r="C4" s="28"/>
      <c r="D4" s="28"/>
      <c r="E4" s="14" t="s">
        <v>18</v>
      </c>
    </row>
    <row r="5" spans="1:5" ht="15.75" customHeight="1">
      <c r="A5" s="29" t="s">
        <v>21</v>
      </c>
      <c r="B5" s="29"/>
      <c r="C5" s="29"/>
      <c r="D5" s="29"/>
      <c r="E5" s="15" t="s">
        <v>22</v>
      </c>
    </row>
    <row r="6" spans="1:5" ht="15" customHeight="1">
      <c r="A6" s="21" t="s">
        <v>17</v>
      </c>
      <c r="B6" s="21"/>
      <c r="C6" s="21"/>
      <c r="D6" s="21"/>
      <c r="E6" s="16">
        <f>VLOOKUP(A1,'[1]2021'!$A$1:$AH$101,3,0)</f>
        <v>15738.4</v>
      </c>
    </row>
    <row r="7" spans="1:5" ht="33" customHeight="1">
      <c r="A7" s="21" t="s">
        <v>27</v>
      </c>
      <c r="B7" s="21"/>
      <c r="C7" s="21"/>
      <c r="D7" s="21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19" t="s">
        <v>24</v>
      </c>
      <c r="B10" s="20"/>
      <c r="C10" s="20"/>
      <c r="D10" s="20"/>
      <c r="E10" s="13">
        <f>VLOOKUP(A1,'[1]2021'!$A$1:$AH$101,4,0)</f>
        <v>-356292.6600000001</v>
      </c>
    </row>
    <row r="11" spans="1:5" ht="32.25" customHeight="1">
      <c r="A11" s="3">
        <v>1</v>
      </c>
      <c r="B11" s="9" t="s">
        <v>4</v>
      </c>
      <c r="C11" s="5">
        <f>VLOOKUP(A1,'[1]2021'!$A$1:$AH$101,5,0)</f>
        <v>32986.3</v>
      </c>
      <c r="D11" s="5">
        <f>VLOOKUP(A1,'[1]2021'!$A$1:$AH$101,18,0)</f>
        <v>15685</v>
      </c>
      <c r="E11" s="7" t="s">
        <v>28</v>
      </c>
    </row>
    <row r="12" spans="1:5" ht="252.75" customHeight="1">
      <c r="A12" s="3">
        <v>2</v>
      </c>
      <c r="B12" s="9" t="s">
        <v>5</v>
      </c>
      <c r="C12" s="5">
        <f>VLOOKUP(A1,'[1]2021'!$A$1:$AH$101,6,0)</f>
        <v>43297.53</v>
      </c>
      <c r="D12" s="5">
        <f>VLOOKUP(A1,'[1]2021'!$A$1:$AH$101,19,0)</f>
        <v>89639</v>
      </c>
      <c r="E12" s="7" t="s">
        <v>29</v>
      </c>
    </row>
    <row r="13" spans="1:5" ht="159" customHeight="1">
      <c r="A13" s="3">
        <v>3</v>
      </c>
      <c r="B13" s="9" t="s">
        <v>6</v>
      </c>
      <c r="C13" s="5">
        <f>VLOOKUP(A1,'[1]2021'!$A$1:$AH$101,7,0)</f>
        <v>42353.43</v>
      </c>
      <c r="D13" s="5">
        <f>VLOOKUP(A1,'[1]2021'!$A$1:$AH$101,20,0)</f>
        <v>26771</v>
      </c>
      <c r="E13" s="7" t="s">
        <v>30</v>
      </c>
    </row>
    <row r="14" spans="1:5" ht="111.75" customHeight="1">
      <c r="A14" s="3">
        <v>4</v>
      </c>
      <c r="B14" s="9" t="s">
        <v>7</v>
      </c>
      <c r="C14" s="5">
        <f>VLOOKUP(A1,'[1]2021'!$A$1:$AH$101,8,0)</f>
        <v>38009.4</v>
      </c>
      <c r="D14" s="5">
        <f>VLOOKUP(A1,'[1]2021'!$A$1:$AH$101,21,0)</f>
        <v>14929</v>
      </c>
      <c r="E14" s="7" t="s">
        <v>31</v>
      </c>
    </row>
    <row r="15" spans="1:5" ht="110.25" customHeight="1">
      <c r="A15" s="3">
        <v>5</v>
      </c>
      <c r="B15" s="9" t="s">
        <v>8</v>
      </c>
      <c r="C15" s="5">
        <f>VLOOKUP(A1,'[1]2021'!$A$1:$AH$101,9,0)</f>
        <v>46872.16</v>
      </c>
      <c r="D15" s="5">
        <f>VLOOKUP(A1,'[1]2021'!$A$1:$AH$101,22,0)</f>
        <v>44626</v>
      </c>
      <c r="E15" s="7" t="s">
        <v>32</v>
      </c>
    </row>
    <row r="16" spans="1:5" ht="160.5" customHeight="1">
      <c r="A16" s="3">
        <v>6</v>
      </c>
      <c r="B16" s="9" t="s">
        <v>9</v>
      </c>
      <c r="C16" s="5">
        <f>VLOOKUP(A1,'[1]2021'!$A$1:$AH$101,10,0)</f>
        <v>46446.78</v>
      </c>
      <c r="D16" s="5">
        <f>VLOOKUP(A1,'[1]2021'!$A$1:$AH$101,23,0)</f>
        <v>9859</v>
      </c>
      <c r="E16" s="7" t="s">
        <v>33</v>
      </c>
    </row>
    <row r="17" spans="1:5" ht="240" customHeight="1">
      <c r="A17" s="3">
        <v>7</v>
      </c>
      <c r="B17" s="9" t="s">
        <v>10</v>
      </c>
      <c r="C17" s="5">
        <f>VLOOKUP(A1,'[1]2021'!$A$1:$AH$101,11,0)</f>
        <v>46139.63</v>
      </c>
      <c r="D17" s="5">
        <f>VLOOKUP(A1,'[1]2021'!$A$1:$AH$101,24,0)</f>
        <v>37294</v>
      </c>
      <c r="E17" s="7" t="s">
        <v>34</v>
      </c>
    </row>
    <row r="18" spans="1:5" ht="46.5" customHeight="1">
      <c r="A18" s="3">
        <v>8</v>
      </c>
      <c r="B18" s="9" t="s">
        <v>11</v>
      </c>
      <c r="C18" s="5">
        <f>VLOOKUP(A1,'[1]2021'!$A$1:$AH$101,12,0)</f>
        <v>40840.1</v>
      </c>
      <c r="D18" s="5">
        <f>VLOOKUP(A1,'[1]2021'!$A$1:$AH$102,25,0)</f>
        <v>2560</v>
      </c>
      <c r="E18" s="7" t="s">
        <v>35</v>
      </c>
    </row>
    <row r="19" spans="1:5" ht="223.5" customHeight="1">
      <c r="A19" s="3">
        <v>9</v>
      </c>
      <c r="B19" s="9" t="s">
        <v>12</v>
      </c>
      <c r="C19" s="5">
        <f>VLOOKUP(A1,'[1]2021'!$A$1:$AH$101,13,0)</f>
        <v>44095.15</v>
      </c>
      <c r="D19" s="5">
        <f>VLOOKUP(A1,'[1]2021'!$A$1:$AH$101,26,0)</f>
        <v>27128</v>
      </c>
      <c r="E19" s="7" t="s">
        <v>36</v>
      </c>
    </row>
    <row r="20" spans="1:5" ht="51" customHeight="1">
      <c r="A20" s="3">
        <v>10</v>
      </c>
      <c r="B20" s="9" t="s">
        <v>13</v>
      </c>
      <c r="C20" s="5">
        <f>VLOOKUP(A1,'[1]2021'!$A$1:$AH$101,14,0)</f>
        <v>45795.36</v>
      </c>
      <c r="D20" s="5">
        <f>VLOOKUP(A1,'[1]2021'!$A$1:$AH$101,27,0)</f>
        <v>66526</v>
      </c>
      <c r="E20" s="7" t="s">
        <v>37</v>
      </c>
    </row>
    <row r="21" spans="1:5" ht="129" customHeight="1">
      <c r="A21" s="3">
        <v>11</v>
      </c>
      <c r="B21" s="9" t="s">
        <v>14</v>
      </c>
      <c r="C21" s="5">
        <f>VLOOKUP(A1,'[1]2021'!$A$1:$AH$101,15,0)</f>
        <v>44926.18</v>
      </c>
      <c r="D21" s="5">
        <f>VLOOKUP(A1,'[1]2021'!$A$1:$AH$101,28,0)</f>
        <v>16553</v>
      </c>
      <c r="E21" s="7" t="s">
        <v>38</v>
      </c>
    </row>
    <row r="22" spans="1:5" ht="64.5" customHeight="1">
      <c r="A22" s="3">
        <v>12</v>
      </c>
      <c r="B22" s="9" t="s">
        <v>15</v>
      </c>
      <c r="C22" s="5">
        <f>VLOOKUP(A1,'[1]2021'!$A$1:$AH$101,16,0)</f>
        <v>53167.43</v>
      </c>
      <c r="D22" s="5">
        <f>VLOOKUP(A1,'[1]2021'!$A$1:$AH$101,29,0)</f>
        <v>16799</v>
      </c>
      <c r="E22" s="7" t="s">
        <v>39</v>
      </c>
    </row>
    <row r="23" spans="1:5" ht="15.75">
      <c r="A23" s="22" t="s">
        <v>16</v>
      </c>
      <c r="B23" s="23"/>
      <c r="C23" s="6">
        <f>SUM(C11:C22)</f>
        <v>524929.45</v>
      </c>
      <c r="D23" s="6">
        <f>SUM(D11:D22)</f>
        <v>368369</v>
      </c>
      <c r="E23" s="8"/>
    </row>
    <row r="24" spans="1:5" ht="15.75">
      <c r="A24" s="19" t="s">
        <v>25</v>
      </c>
      <c r="B24" s="20"/>
      <c r="C24" s="20"/>
      <c r="D24" s="20"/>
      <c r="E24" s="13">
        <f>E10+C23-D23</f>
        <v>-199732.21000000014</v>
      </c>
    </row>
    <row r="28" spans="1:5" ht="18.75">
      <c r="A28" s="18" t="s">
        <v>19</v>
      </c>
      <c r="B28" s="18"/>
      <c r="C28" s="18"/>
      <c r="D28" s="18"/>
      <c r="E28" s="18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8"/>
      <c r="B31" s="18"/>
      <c r="C31" s="18"/>
      <c r="D31" s="18"/>
      <c r="E31" s="18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2022-02-09T09:09:31Z</dcterms:modified>
  <cp:category/>
  <cp:version/>
  <cp:contentType/>
  <cp:contentStatus/>
</cp:coreProperties>
</file>